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<sst xmlns="http://schemas.openxmlformats.org/spreadsheetml/2006/main" count="1478" uniqueCount="307">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</sst>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0" sqref="G2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442211.7800000001</v>
      </c>
      <c r="G8" s="18">
        <f aca="true" t="shared" si="0" ref="G8:G54">F8-E8</f>
        <v>-16540.719999999914</v>
      </c>
      <c r="H8" s="45">
        <f>F8/E8*100</f>
        <v>96.39441310946536</v>
      </c>
      <c r="I8" s="31">
        <f aca="true" t="shared" si="1" ref="I8:I54">F8-D8</f>
        <v>-130077.21999999991</v>
      </c>
      <c r="J8" s="31">
        <f aca="true" t="shared" si="2" ref="J8:J14">F8/D8*100</f>
        <v>77.27071112672095</v>
      </c>
      <c r="K8" s="18">
        <f>K9+K15+K18+K19+K20+K32</f>
        <v>83227.936</v>
      </c>
      <c r="L8" s="18"/>
      <c r="M8" s="18">
        <f>M9+M15+M18+M19+M20+M32+M17</f>
        <v>45676.399999999994</v>
      </c>
      <c r="N8" s="18">
        <f>N9+N15+N18+N19+N20+N32+N17</f>
        <v>12699.670000000018</v>
      </c>
      <c r="O8" s="31">
        <f aca="true" t="shared" si="3" ref="O8:O54">N8-M8</f>
        <v>-32976.729999999974</v>
      </c>
      <c r="P8" s="31">
        <f>F8/M8*100</f>
        <v>968.1406152849178</v>
      </c>
      <c r="Q8" s="31">
        <f>N8-33748.16</f>
        <v>-21048.489999999983</v>
      </c>
      <c r="R8" s="125">
        <f>N8/33748.16</f>
        <v>0.3763070342205328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243472.09</v>
      </c>
      <c r="G9" s="43">
        <f t="shared" si="0"/>
        <v>-5142.459999999992</v>
      </c>
      <c r="H9" s="35">
        <f aca="true" t="shared" si="4" ref="H9:H32">F9/E9*100</f>
        <v>97.93155308086354</v>
      </c>
      <c r="I9" s="50">
        <f t="shared" si="1"/>
        <v>-69217.91</v>
      </c>
      <c r="J9" s="50">
        <f t="shared" si="2"/>
        <v>77.86372765358662</v>
      </c>
      <c r="K9" s="132">
        <f>F9-282613.68/75*60</f>
        <v>17381.146000000008</v>
      </c>
      <c r="L9" s="132">
        <f>F9/(282613.68/75*60)*100</f>
        <v>107.68767898992009</v>
      </c>
      <c r="M9" s="35">
        <f>E9-серпень!E9</f>
        <v>26089.899999999994</v>
      </c>
      <c r="N9" s="35">
        <f>F9-серпень!F9</f>
        <v>9761.079999999987</v>
      </c>
      <c r="O9" s="47">
        <f t="shared" si="3"/>
        <v>-16328.820000000007</v>
      </c>
      <c r="P9" s="50">
        <f aca="true" t="shared" si="5" ref="P9:P32">N9/M9*100</f>
        <v>37.4132518714138</v>
      </c>
      <c r="Q9" s="132">
        <f>N9-26568.11</f>
        <v>-16807.030000000013</v>
      </c>
      <c r="R9" s="133">
        <f>N9/26568.11</f>
        <v>0.3673983584078802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215608.4</v>
      </c>
      <c r="G10" s="135">
        <f t="shared" si="0"/>
        <v>-2881.850000000006</v>
      </c>
      <c r="H10" s="137">
        <f t="shared" si="4"/>
        <v>98.68101665863809</v>
      </c>
      <c r="I10" s="136">
        <f t="shared" si="1"/>
        <v>-24801.600000000006</v>
      </c>
      <c r="J10" s="136">
        <f t="shared" si="2"/>
        <v>89.68362380932572</v>
      </c>
      <c r="K10" s="138">
        <f>F10-251377.17/75*60</f>
        <v>14506.66399999999</v>
      </c>
      <c r="L10" s="138">
        <f>F10/(251377.17/75*60)*100</f>
        <v>107.21359461561286</v>
      </c>
      <c r="M10" s="137">
        <f>E10-серпень!E10</f>
        <v>22490</v>
      </c>
      <c r="N10" s="137">
        <f>F10-серпень!F10</f>
        <v>8990.190000000002</v>
      </c>
      <c r="O10" s="138">
        <f t="shared" si="3"/>
        <v>-13499.809999999998</v>
      </c>
      <c r="P10" s="136">
        <f t="shared" si="5"/>
        <v>39.97416629613163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12457.75</v>
      </c>
      <c r="G11" s="135">
        <f t="shared" si="0"/>
        <v>-4330.1500000000015</v>
      </c>
      <c r="H11" s="137">
        <f t="shared" si="4"/>
        <v>74.20672031641836</v>
      </c>
      <c r="I11" s="136">
        <f t="shared" si="1"/>
        <v>-11242.25</v>
      </c>
      <c r="J11" s="136">
        <f t="shared" si="2"/>
        <v>52.564345991561176</v>
      </c>
      <c r="K11" s="138">
        <f>F11-18550.28/75*60</f>
        <v>-2382.474</v>
      </c>
      <c r="L11" s="138">
        <f>F11/(18550.28/75*60)*100</f>
        <v>83.94583531892779</v>
      </c>
      <c r="M11" s="137">
        <f>E11-серпень!E11</f>
        <v>2099.9000000000015</v>
      </c>
      <c r="N11" s="137">
        <f>F11-серпень!F11</f>
        <v>49.19000000000051</v>
      </c>
      <c r="O11" s="138">
        <f t="shared" si="3"/>
        <v>-2050.710000000001</v>
      </c>
      <c r="P11" s="136">
        <f t="shared" si="5"/>
        <v>2.3424924996428627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3441.44</v>
      </c>
      <c r="G12" s="135">
        <f t="shared" si="0"/>
        <v>-467.55999999999995</v>
      </c>
      <c r="H12" s="137">
        <f t="shared" si="4"/>
        <v>88.03888462522384</v>
      </c>
      <c r="I12" s="136">
        <f t="shared" si="1"/>
        <v>-2358.56</v>
      </c>
      <c r="J12" s="136">
        <f t="shared" si="2"/>
        <v>59.3351724137931</v>
      </c>
      <c r="K12" s="138">
        <f>F12-5298.15/75*60</f>
        <v>-797.0799999999995</v>
      </c>
      <c r="L12" s="138">
        <f>F12/(5298.15*60)*100</f>
        <v>1.0825917222678356</v>
      </c>
      <c r="M12" s="137">
        <f>E12-серпень!E12</f>
        <v>660</v>
      </c>
      <c r="N12" s="137">
        <f>F12-серпень!F12</f>
        <v>110.07999999999993</v>
      </c>
      <c r="O12" s="138">
        <f t="shared" si="3"/>
        <v>-549.9200000000001</v>
      </c>
      <c r="P12" s="136">
        <f t="shared" si="5"/>
        <v>16.67878787878787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5276.62</v>
      </c>
      <c r="G13" s="135">
        <f t="shared" si="0"/>
        <v>-946.7799999999997</v>
      </c>
      <c r="H13" s="137">
        <f t="shared" si="4"/>
        <v>84.78677250377608</v>
      </c>
      <c r="I13" s="136">
        <f t="shared" si="1"/>
        <v>-3123.38</v>
      </c>
      <c r="J13" s="136">
        <f t="shared" si="2"/>
        <v>62.81690476190476</v>
      </c>
      <c r="K13" s="138">
        <f>F13-7303.25/75*60</f>
        <v>-565.9800000000005</v>
      </c>
      <c r="L13" s="138">
        <f>F13/(7303.25/75*60)*100</f>
        <v>90.31287440523053</v>
      </c>
      <c r="M13" s="137">
        <f>E13-серпень!E13</f>
        <v>450</v>
      </c>
      <c r="N13" s="137">
        <f>F13-серпень!F13</f>
        <v>299.8900000000003</v>
      </c>
      <c r="O13" s="138">
        <f t="shared" si="3"/>
        <v>-150.10999999999967</v>
      </c>
      <c r="P13" s="136">
        <f t="shared" si="5"/>
        <v>66.64222222222229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6687.88</v>
      </c>
      <c r="G14" s="135">
        <f t="shared" si="0"/>
        <v>3483.88</v>
      </c>
      <c r="H14" s="137">
        <f t="shared" si="4"/>
        <v>208.73533083645444</v>
      </c>
      <c r="I14" s="136">
        <f t="shared" si="1"/>
        <v>2307.88</v>
      </c>
      <c r="J14" s="136">
        <f t="shared" si="2"/>
        <v>152.69132420091324</v>
      </c>
      <c r="K14" s="138">
        <f>F14-84.83/75*60</f>
        <v>6620.0160000000005</v>
      </c>
      <c r="L14" s="138">
        <f>F14/(84.83/75*60)*100</f>
        <v>9854.827301662148</v>
      </c>
      <c r="M14" s="137">
        <f>E14-липень!E14</f>
        <v>780</v>
      </c>
      <c r="N14" s="137">
        <f>F14-серпень!F14</f>
        <v>311.7399999999998</v>
      </c>
      <c r="O14" s="138">
        <f t="shared" si="3"/>
        <v>-468.2600000000002</v>
      </c>
      <c r="P14" s="136">
        <f t="shared" si="5"/>
        <v>39.96666666666664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F15-(-404.47)</f>
        <v>-330.11</v>
      </c>
      <c r="L15" s="53">
        <f>F15/(-404.47)*100</f>
        <v>181.6154473755779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F16-95.61</f>
        <v>-1329.4199999999998</v>
      </c>
      <c r="L16" s="138">
        <f>F16/95.61*100</f>
        <v>-1290.461248823345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44371.47</v>
      </c>
      <c r="G19" s="43">
        <f t="shared" si="0"/>
        <v>-6351.279999999999</v>
      </c>
      <c r="H19" s="35">
        <f t="shared" si="4"/>
        <v>87.47843916191452</v>
      </c>
      <c r="I19" s="50">
        <f t="shared" si="1"/>
        <v>-17838.53</v>
      </c>
      <c r="J19" s="178">
        <f>F19/D19*100</f>
        <v>71.32530139848899</v>
      </c>
      <c r="K19" s="179">
        <f>F19-0</f>
        <v>44371.47</v>
      </c>
      <c r="L19" s="180"/>
      <c r="M19" s="35">
        <f>E19-серпень!E19</f>
        <v>6800</v>
      </c>
      <c r="N19" s="35">
        <f>F19-серпень!F19</f>
        <v>493.8099999999977</v>
      </c>
      <c r="O19" s="47">
        <f t="shared" si="3"/>
        <v>-6306.190000000002</v>
      </c>
      <c r="P19" s="50">
        <f t="shared" si="5"/>
        <v>7.261911764705848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149509.30000000002</v>
      </c>
      <c r="G20" s="43">
        <f t="shared" si="0"/>
        <v>-3969.0999999999767</v>
      </c>
      <c r="H20" s="35">
        <f t="shared" si="4"/>
        <v>97.41390319419541</v>
      </c>
      <c r="I20" s="50">
        <f t="shared" si="1"/>
        <v>-40360.69999999998</v>
      </c>
      <c r="J20" s="178">
        <f aca="true" t="shared" si="6" ref="J20:J46">F20/D20*100</f>
        <v>78.7429820403434</v>
      </c>
      <c r="K20" s="178">
        <f>K21+K25+K26+K27</f>
        <v>23584.21</v>
      </c>
      <c r="L20" s="136"/>
      <c r="M20" s="35">
        <f>E20-серпень!E20</f>
        <v>12786.100000000006</v>
      </c>
      <c r="N20" s="35">
        <f>F20-серпень!F20</f>
        <v>2441.1300000000338</v>
      </c>
      <c r="O20" s="47">
        <f t="shared" si="3"/>
        <v>-10344.969999999972</v>
      </c>
      <c r="P20" s="50">
        <f t="shared" si="5"/>
        <v>19.09206090989459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80718.75</v>
      </c>
      <c r="G21" s="43">
        <f t="shared" si="0"/>
        <v>-5181.649999999994</v>
      </c>
      <c r="H21" s="35">
        <f t="shared" si="4"/>
        <v>93.96783949783703</v>
      </c>
      <c r="I21" s="50">
        <f t="shared" si="1"/>
        <v>-29581.25</v>
      </c>
      <c r="J21" s="178">
        <f t="shared" si="6"/>
        <v>73.18109700815957</v>
      </c>
      <c r="K21" s="178">
        <f>K22+K23+K24</f>
        <v>19172.140000000003</v>
      </c>
      <c r="L21" s="136"/>
      <c r="M21" s="35">
        <f>E21-серпень!E21</f>
        <v>8720.099999999991</v>
      </c>
      <c r="N21" s="35">
        <f>F21-серпень!F21</f>
        <v>919.8699999999953</v>
      </c>
      <c r="O21" s="47">
        <f t="shared" si="3"/>
        <v>-7800.229999999996</v>
      </c>
      <c r="P21" s="50">
        <f t="shared" si="5"/>
        <v>10.548846916893112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8935.3</v>
      </c>
      <c r="G22" s="135">
        <f t="shared" si="0"/>
        <v>140.89999999999964</v>
      </c>
      <c r="H22" s="137">
        <f t="shared" si="4"/>
        <v>101.60215591740199</v>
      </c>
      <c r="I22" s="136">
        <f t="shared" si="1"/>
        <v>-1764.7000000000007</v>
      </c>
      <c r="J22" s="136">
        <f t="shared" si="6"/>
        <v>83.50747663551401</v>
      </c>
      <c r="K22" s="136">
        <f>F22-314.15</f>
        <v>8621.15</v>
      </c>
      <c r="L22" s="136">
        <f>F22/314.15*100</f>
        <v>2844.2782110456787</v>
      </c>
      <c r="M22" s="137">
        <f>E22-серпень!E22</f>
        <v>171.10000000000036</v>
      </c>
      <c r="N22" s="137">
        <f>F22-серпень!F22</f>
        <v>261.5599999999995</v>
      </c>
      <c r="O22" s="138">
        <f t="shared" si="3"/>
        <v>90.45999999999913</v>
      </c>
      <c r="P22" s="136">
        <f t="shared" si="5"/>
        <v>152.8696668614839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3214.87</v>
      </c>
      <c r="G23" s="135">
        <f t="shared" si="0"/>
        <v>1427.87</v>
      </c>
      <c r="H23" s="137"/>
      <c r="I23" s="136">
        <f t="shared" si="1"/>
        <v>1114.87</v>
      </c>
      <c r="J23" s="136">
        <f t="shared" si="6"/>
        <v>153.08904761904762</v>
      </c>
      <c r="K23" s="136">
        <f>F23-0</f>
        <v>3214.87</v>
      </c>
      <c r="L23" s="136"/>
      <c r="M23" s="137">
        <f>E23-серпень!E23</f>
        <v>309</v>
      </c>
      <c r="N23" s="137">
        <f>F23-серпень!F23</f>
        <v>97.92000000000007</v>
      </c>
      <c r="O23" s="138">
        <f t="shared" si="3"/>
        <v>-211.07999999999993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68568.58</v>
      </c>
      <c r="G24" s="135">
        <f t="shared" si="0"/>
        <v>-6750.419999999998</v>
      </c>
      <c r="H24" s="137">
        <f t="shared" si="4"/>
        <v>91.0375602437632</v>
      </c>
      <c r="I24" s="136">
        <f t="shared" si="1"/>
        <v>-28931.42</v>
      </c>
      <c r="J24" s="136">
        <f t="shared" si="6"/>
        <v>70.32674871794872</v>
      </c>
      <c r="K24" s="224">
        <f>F24-61232.46</f>
        <v>7336.120000000003</v>
      </c>
      <c r="L24" s="224">
        <f>F24/61232.46*100</f>
        <v>111.98076967673683</v>
      </c>
      <c r="M24" s="137">
        <f>E24-серпень!E24</f>
        <v>8240</v>
      </c>
      <c r="N24" s="137">
        <f>F24-серпень!F24</f>
        <v>560.3899999999994</v>
      </c>
      <c r="O24" s="138">
        <f t="shared" si="3"/>
        <v>-7679.610000000001</v>
      </c>
      <c r="P24" s="136">
        <f t="shared" si="5"/>
        <v>6.800849514563099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-647.53</v>
      </c>
      <c r="G26" s="43">
        <f t="shared" si="0"/>
        <v>-647.53</v>
      </c>
      <c r="H26" s="35"/>
      <c r="I26" s="50">
        <f t="shared" si="1"/>
        <v>-647.53</v>
      </c>
      <c r="J26" s="136"/>
      <c r="K26" s="178">
        <f>F26-4797.94</f>
        <v>-5445.469999999999</v>
      </c>
      <c r="L26" s="178">
        <f>F26/4797.94*100</f>
        <v>-13.496000366824095</v>
      </c>
      <c r="M26" s="35">
        <f>E26-серпень!E26</f>
        <v>0</v>
      </c>
      <c r="N26" s="35">
        <f>F26-серпень!F26</f>
        <v>-32.95999999999992</v>
      </c>
      <c r="O26" s="47">
        <f t="shared" si="3"/>
        <v>-32.95999999999992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69389.23</v>
      </c>
      <c r="G27" s="43">
        <f t="shared" si="0"/>
        <v>1852.729999999996</v>
      </c>
      <c r="H27" s="35">
        <f t="shared" si="4"/>
        <v>102.74330177015392</v>
      </c>
      <c r="I27" s="50">
        <f t="shared" si="1"/>
        <v>-10110.770000000004</v>
      </c>
      <c r="J27" s="178">
        <f t="shared" si="6"/>
        <v>87.28205031446541</v>
      </c>
      <c r="K27" s="132">
        <f>F27-59536.46</f>
        <v>9852.769999999997</v>
      </c>
      <c r="L27" s="132">
        <f>F27/59536.46*100</f>
        <v>116.54913644512959</v>
      </c>
      <c r="M27" s="35">
        <f>E27-серпень!E27</f>
        <v>4060</v>
      </c>
      <c r="N27" s="35">
        <f>F27-серпень!F27</f>
        <v>1554.2200000000012</v>
      </c>
      <c r="O27" s="47">
        <f t="shared" si="3"/>
        <v>-2505.779999999999</v>
      </c>
      <c r="P27" s="50">
        <f t="shared" si="5"/>
        <v>38.28128078817737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F28-1.2</f>
        <v>-2.4</v>
      </c>
      <c r="L28" s="139">
        <f>F28/1.2*100</f>
        <v>-100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17128.32</v>
      </c>
      <c r="G29" s="135">
        <f t="shared" si="0"/>
        <v>348.3199999999997</v>
      </c>
      <c r="H29" s="137">
        <f t="shared" si="4"/>
        <v>102.07580452920142</v>
      </c>
      <c r="I29" s="136">
        <f t="shared" si="1"/>
        <v>-2071.6800000000003</v>
      </c>
      <c r="J29" s="136">
        <f t="shared" si="6"/>
        <v>89.21</v>
      </c>
      <c r="K29" s="139">
        <f>F29-16472.46</f>
        <v>655.8600000000006</v>
      </c>
      <c r="L29" s="139">
        <f>F29/16472.46*100</f>
        <v>103.98155466760886</v>
      </c>
      <c r="M29" s="137">
        <f>E29-серпень!E29</f>
        <v>1200</v>
      </c>
      <c r="N29" s="137">
        <f>F29-серпень!F29</f>
        <v>196.98999999999796</v>
      </c>
      <c r="O29" s="138">
        <f t="shared" si="3"/>
        <v>-1003.010000000002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52245.29</v>
      </c>
      <c r="G30" s="135">
        <f t="shared" si="0"/>
        <v>1488.7900000000009</v>
      </c>
      <c r="H30" s="137">
        <f t="shared" si="4"/>
        <v>102.93320067380533</v>
      </c>
      <c r="I30" s="136">
        <f t="shared" si="1"/>
        <v>-8054.709999999999</v>
      </c>
      <c r="J30" s="136">
        <f t="shared" si="6"/>
        <v>86.642271973466</v>
      </c>
      <c r="K30" s="139">
        <f>F30-43062.79</f>
        <v>9182.5</v>
      </c>
      <c r="L30" s="139">
        <f>F30/43062.79*100</f>
        <v>121.32351387357856</v>
      </c>
      <c r="M30" s="137">
        <f>E30-серпень!E30</f>
        <v>2860</v>
      </c>
      <c r="N30" s="137">
        <f>F30-серпень!F30</f>
        <v>1357.2200000000012</v>
      </c>
      <c r="O30" s="138">
        <f t="shared" si="3"/>
        <v>-1502.7799999999988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5577.61</v>
      </c>
      <c r="G32" s="43">
        <f t="shared" si="0"/>
        <v>-174.78999999999996</v>
      </c>
      <c r="H32" s="35">
        <f t="shared" si="4"/>
        <v>96.96144218065503</v>
      </c>
      <c r="I32" s="50">
        <f t="shared" si="1"/>
        <v>-1922.3900000000003</v>
      </c>
      <c r="J32" s="178">
        <f t="shared" si="6"/>
        <v>74.36813333333333</v>
      </c>
      <c r="K32" s="178">
        <f>F32-7368.88</f>
        <v>-1791.2700000000004</v>
      </c>
      <c r="L32" s="178">
        <f>F32/7368.88*100</f>
        <v>75.69142122004972</v>
      </c>
      <c r="M32" s="35">
        <f>E32-серпень!E32</f>
        <v>0.2999999999992724</v>
      </c>
      <c r="N32" s="35">
        <f>F32-серпень!F32</f>
        <v>3.649999999999636</v>
      </c>
      <c r="O32" s="47">
        <f t="shared" si="3"/>
        <v>3.350000000000364</v>
      </c>
      <c r="P32" s="50">
        <f t="shared" si="5"/>
        <v>1216.6666666694962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27118.01</v>
      </c>
      <c r="G33" s="44">
        <f t="shared" si="0"/>
        <v>4168.009999999998</v>
      </c>
      <c r="H33" s="45">
        <f>F33/E33*100</f>
        <v>118.16126361655772</v>
      </c>
      <c r="I33" s="31">
        <f t="shared" si="1"/>
        <v>-1589.0900000000001</v>
      </c>
      <c r="J33" s="31">
        <f t="shared" si="6"/>
        <v>94.46447046201114</v>
      </c>
      <c r="K33" s="18">
        <f>K34+K35+K36+K37+K38+K41+K42+K47+K48+K52+K40</f>
        <v>17359.82</v>
      </c>
      <c r="L33" s="18"/>
      <c r="M33" s="18">
        <f>M34+M35+M36+M37+M38+M41+M42+M47+M48+M52+M40+M39</f>
        <v>2859.8</v>
      </c>
      <c r="N33" s="18">
        <f>N34+N35+N36+N37+N38+N41+N42+N47+N48+N52+N40+N39</f>
        <v>5510.660000000001</v>
      </c>
      <c r="O33" s="49">
        <f t="shared" si="3"/>
        <v>2650.8600000000006</v>
      </c>
      <c r="P33" s="31">
        <f>N33/M33*100</f>
        <v>192.69389467794952</v>
      </c>
      <c r="Q33" s="31">
        <f>N33-1017.63</f>
        <v>4493.030000000001</v>
      </c>
      <c r="R33" s="127">
        <f>N33/1017.63</f>
        <v>5.41519019682989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309.82</v>
      </c>
      <c r="G36" s="43">
        <f t="shared" si="0"/>
        <v>69.82</v>
      </c>
      <c r="H36" s="35"/>
      <c r="I36" s="50">
        <f t="shared" si="1"/>
        <v>69.82</v>
      </c>
      <c r="J36" s="50"/>
      <c r="K36" s="50">
        <f>F36-272.25</f>
        <v>37.56999999999999</v>
      </c>
      <c r="L36" s="50">
        <f>F36/272.25*100</f>
        <v>113.7998163452709</v>
      </c>
      <c r="M36" s="35">
        <f>E36-серпень!E36</f>
        <v>0</v>
      </c>
      <c r="N36" s="35">
        <f>F36-серпень!F36</f>
        <v>2.6200000000000045</v>
      </c>
      <c r="O36" s="47">
        <f t="shared" si="3"/>
        <v>2.6200000000000045</v>
      </c>
      <c r="P36" s="50"/>
      <c r="Q36" s="50">
        <f>N36-4.23</f>
        <v>-1.6099999999999959</v>
      </c>
      <c r="R36" s="126">
        <f>N36/4.23</f>
        <v>0.6193853427895991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110.76</v>
      </c>
      <c r="G38" s="43">
        <f t="shared" si="0"/>
        <v>5.760000000000005</v>
      </c>
      <c r="H38" s="35">
        <f>F38/E38*100</f>
        <v>105.4857142857143</v>
      </c>
      <c r="I38" s="50">
        <f t="shared" si="1"/>
        <v>-29.239999999999995</v>
      </c>
      <c r="J38" s="50">
        <f t="shared" si="6"/>
        <v>79.11428571428571</v>
      </c>
      <c r="K38" s="50">
        <f>F38-97.95</f>
        <v>12.810000000000002</v>
      </c>
      <c r="L38" s="50">
        <f>F38/97.95*100</f>
        <v>113.0781010719755</v>
      </c>
      <c r="M38" s="35">
        <f>E38-серпень!E38</f>
        <v>15</v>
      </c>
      <c r="N38" s="35">
        <f>F38-серпень!F38</f>
        <v>6.700000000000003</v>
      </c>
      <c r="O38" s="47">
        <f t="shared" si="3"/>
        <v>-8.299999999999997</v>
      </c>
      <c r="P38" s="50">
        <f>N38/M38*100</f>
        <v>44.666666666666686</v>
      </c>
      <c r="Q38" s="50">
        <f>N38-9.02</f>
        <v>-2.3199999999999967</v>
      </c>
      <c r="R38" s="126">
        <f>N38/9.02</f>
        <v>0.7427937915742797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7054.02</v>
      </c>
      <c r="G40" s="43"/>
      <c r="H40" s="35"/>
      <c r="I40" s="50">
        <f t="shared" si="1"/>
        <v>-1945.9799999999996</v>
      </c>
      <c r="J40" s="50"/>
      <c r="K40" s="50">
        <f>F40-0</f>
        <v>7054.02</v>
      </c>
      <c r="L40" s="50"/>
      <c r="M40" s="35">
        <f>E40-серпень!E40</f>
        <v>1000</v>
      </c>
      <c r="N40" s="35">
        <f>F40-серпень!F40</f>
        <v>281.97000000000025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5390.39</v>
      </c>
      <c r="G42" s="43">
        <f t="shared" si="0"/>
        <v>-408.6099999999997</v>
      </c>
      <c r="H42" s="35">
        <f>F42/E42*100</f>
        <v>92.95378513536818</v>
      </c>
      <c r="I42" s="50">
        <f t="shared" si="1"/>
        <v>-1709.6099999999997</v>
      </c>
      <c r="J42" s="50">
        <f t="shared" si="6"/>
        <v>75.92098591549296</v>
      </c>
      <c r="K42" s="50">
        <f>F42-782.38</f>
        <v>4608.01</v>
      </c>
      <c r="L42" s="50">
        <f>F42/782.38*100</f>
        <v>688.9733888903091</v>
      </c>
      <c r="M42" s="35">
        <f>E42-серпень!E42</f>
        <v>604.3000000000002</v>
      </c>
      <c r="N42" s="35">
        <f>F42-серпень!F42</f>
        <v>168.96000000000004</v>
      </c>
      <c r="O42" s="47">
        <f t="shared" si="3"/>
        <v>-435.34000000000015</v>
      </c>
      <c r="P42" s="50">
        <f>N42/M42*100</f>
        <v>27.959622703954988</v>
      </c>
      <c r="Q42" s="50">
        <f>N42-79.51</f>
        <v>89.45000000000003</v>
      </c>
      <c r="R42" s="126">
        <f>N42/79.51</f>
        <v>2.1250157212929195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759.44</v>
      </c>
      <c r="G43" s="135">
        <f t="shared" si="0"/>
        <v>-80.55999999999995</v>
      </c>
      <c r="H43" s="137">
        <f>F43/E43*100</f>
        <v>90.40952380952382</v>
      </c>
      <c r="I43" s="136">
        <f t="shared" si="1"/>
        <v>-340.55999999999995</v>
      </c>
      <c r="J43" s="136">
        <f t="shared" si="6"/>
        <v>69.04</v>
      </c>
      <c r="K43" s="136">
        <f>F43-687.25</f>
        <v>72.19000000000005</v>
      </c>
      <c r="L43" s="136">
        <f>F43/687.25*100</f>
        <v>110.50418333939615</v>
      </c>
      <c r="M43" s="35">
        <f>E43-серпень!E43</f>
        <v>80</v>
      </c>
      <c r="N43" s="35">
        <f>F43-серпень!F43</f>
        <v>24.31000000000006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44.02</v>
      </c>
      <c r="G44" s="135">
        <f t="shared" si="0"/>
        <v>-15.979999999999997</v>
      </c>
      <c r="H44" s="137"/>
      <c r="I44" s="136">
        <f t="shared" si="1"/>
        <v>-35.98</v>
      </c>
      <c r="J44" s="136"/>
      <c r="K44" s="136">
        <f>F44-0</f>
        <v>44.02</v>
      </c>
      <c r="L44" s="136"/>
      <c r="M44" s="35">
        <f>E44-серпень!E44</f>
        <v>10</v>
      </c>
      <c r="N44" s="35">
        <f>F44-серпень!F44</f>
        <v>-1.4299999999999997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4586.18</v>
      </c>
      <c r="G46" s="135">
        <f t="shared" si="0"/>
        <v>-311.8199999999997</v>
      </c>
      <c r="H46" s="137">
        <f>F46/E46*100</f>
        <v>93.63372805226624</v>
      </c>
      <c r="I46" s="136">
        <f t="shared" si="1"/>
        <v>-1331.8199999999997</v>
      </c>
      <c r="J46" s="136">
        <f t="shared" si="6"/>
        <v>77.495437647854</v>
      </c>
      <c r="K46" s="136">
        <f>F46-95.13</f>
        <v>4491.05</v>
      </c>
      <c r="L46" s="136">
        <f>F46/95.13*100</f>
        <v>4820.9607904972145</v>
      </c>
      <c r="M46" s="35">
        <f>E46-серпень!E46</f>
        <v>514</v>
      </c>
      <c r="N46" s="35">
        <f>F46-серпень!F46</f>
        <v>146.07000000000062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3370.21</v>
      </c>
      <c r="G48" s="43">
        <f t="shared" si="0"/>
        <v>280.21000000000004</v>
      </c>
      <c r="H48" s="35">
        <f>F48/E48*100</f>
        <v>109.06828478964401</v>
      </c>
      <c r="I48" s="50">
        <f t="shared" si="1"/>
        <v>-829.79</v>
      </c>
      <c r="J48" s="50">
        <f>F48/D48*100</f>
        <v>80.24309523809524</v>
      </c>
      <c r="K48" s="50">
        <f>F48-3093.83</f>
        <v>276.3800000000001</v>
      </c>
      <c r="L48" s="50">
        <f>F48/3093.83*100</f>
        <v>108.93326394792216</v>
      </c>
      <c r="M48" s="35">
        <f>E48-серпень!E48</f>
        <v>390</v>
      </c>
      <c r="N48" s="35">
        <f>F48-серпень!F48</f>
        <v>177.55999999999995</v>
      </c>
      <c r="O48" s="47">
        <f t="shared" si="3"/>
        <v>-212.44000000000005</v>
      </c>
      <c r="P48" s="50">
        <f aca="true" t="shared" si="7" ref="P48:P53">N48/M48*100</f>
        <v>45.528205128205116</v>
      </c>
      <c r="Q48" s="50">
        <f>N48-277.38</f>
        <v>-99.82000000000005</v>
      </c>
      <c r="R48" s="126">
        <f>N48/277.38</f>
        <v>0.6401326699834161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935.4</v>
      </c>
      <c r="G51" s="135">
        <f t="shared" si="0"/>
        <v>935.4</v>
      </c>
      <c r="H51" s="137"/>
      <c r="I51" s="136">
        <f t="shared" si="1"/>
        <v>935.4</v>
      </c>
      <c r="J51" s="136"/>
      <c r="K51" s="219">
        <f>F51-758.38</f>
        <v>177.01999999999998</v>
      </c>
      <c r="L51" s="219">
        <f>F51/758.38*100</f>
        <v>123.34186028112555</v>
      </c>
      <c r="M51" s="35">
        <f>E51-серпень!E51</f>
        <v>0</v>
      </c>
      <c r="N51" s="35">
        <f>F51-серпень!F51</f>
        <v>44.799999999999955</v>
      </c>
      <c r="O51" s="138">
        <f t="shared" si="3"/>
        <v>44.799999999999955</v>
      </c>
      <c r="P51" s="136"/>
      <c r="Q51" s="50">
        <f>N51-64.93</f>
        <v>-20.130000000000052</v>
      </c>
      <c r="R51" s="126">
        <f>N51/64.93</f>
        <v>0.6899738179577999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469344.5200000001</v>
      </c>
      <c r="G55" s="44">
        <f>F55-E55</f>
        <v>-12377.379999999946</v>
      </c>
      <c r="H55" s="45">
        <f>F55/E55*100</f>
        <v>97.43059636690798</v>
      </c>
      <c r="I55" s="31">
        <f>F55-D55</f>
        <v>-131678.0799999999</v>
      </c>
      <c r="J55" s="31">
        <f>F55/D55*100</f>
        <v>78.0909935832696</v>
      </c>
      <c r="K55" s="31">
        <f>K8+K33+K53+K54</f>
        <v>100582.216</v>
      </c>
      <c r="L55" s="31">
        <f>F55/(F55-K55)*100</f>
        <v>127.27562305283786</v>
      </c>
      <c r="M55" s="18">
        <f>M8+M33+M53+M54</f>
        <v>48538.399999999994</v>
      </c>
      <c r="N55" s="18">
        <f>N8+N33+N53+N54</f>
        <v>18210.33000000002</v>
      </c>
      <c r="O55" s="49">
        <f>N55-M55</f>
        <v>-30328.069999999974</v>
      </c>
      <c r="P55" s="31">
        <f>N55/M55*100</f>
        <v>37.51736769238381</v>
      </c>
      <c r="Q55" s="31">
        <f>N55-34768</f>
        <v>-16557.66999999998</v>
      </c>
      <c r="R55" s="171">
        <f>N55/34768</f>
        <v>0.523766969627244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F64-1754.73</f>
        <v>-1161.69</v>
      </c>
      <c r="L64" s="53">
        <f>F64/1754.73*100</f>
        <v>33.79665247644937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3828.68</v>
      </c>
      <c r="G65" s="43">
        <f t="shared" si="8"/>
        <v>-1633.48</v>
      </c>
      <c r="H65" s="35">
        <f>F65/E65*100</f>
        <v>70.09461458470642</v>
      </c>
      <c r="I65" s="53">
        <f t="shared" si="9"/>
        <v>-7747.32</v>
      </c>
      <c r="J65" s="53">
        <f t="shared" si="11"/>
        <v>33.074291637871454</v>
      </c>
      <c r="K65" s="53">
        <f>F65-2393.24</f>
        <v>1435.44</v>
      </c>
      <c r="L65" s="53">
        <f>F65/2393.24*100</f>
        <v>159.97894068292356</v>
      </c>
      <c r="M65" s="35">
        <f>E65-серпень!E65</f>
        <v>728.7200000000003</v>
      </c>
      <c r="N65" s="35">
        <f>F65-серпень!F65</f>
        <v>70.03999999999996</v>
      </c>
      <c r="O65" s="47">
        <f t="shared" si="10"/>
        <v>-658.6800000000003</v>
      </c>
      <c r="P65" s="53">
        <f>N65/M65*100</f>
        <v>9.611373366999661</v>
      </c>
      <c r="Q65" s="53">
        <f>N65-450.01</f>
        <v>-379.97</v>
      </c>
      <c r="R65" s="129">
        <f>N65/450.01</f>
        <v>0.155640985755872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6260.579999999999</v>
      </c>
      <c r="G67" s="55">
        <f t="shared" si="8"/>
        <v>-1986.38</v>
      </c>
      <c r="H67" s="65">
        <f>F67/E67*100</f>
        <v>75.91379126368989</v>
      </c>
      <c r="I67" s="54">
        <f t="shared" si="9"/>
        <v>-10815.420000000002</v>
      </c>
      <c r="J67" s="54">
        <f t="shared" si="11"/>
        <v>36.66303583977511</v>
      </c>
      <c r="K67" s="54">
        <f>K64+K65+K66</f>
        <v>1037.6999999999998</v>
      </c>
      <c r="L67" s="54"/>
      <c r="M67" s="55">
        <f>M64+M65+M66</f>
        <v>1476.8200000000002</v>
      </c>
      <c r="N67" s="55">
        <f>N64+N65+N66</f>
        <v>70.27999999999975</v>
      </c>
      <c r="O67" s="54">
        <f t="shared" si="10"/>
        <v>-1406.5400000000004</v>
      </c>
      <c r="P67" s="54">
        <f>N67/M67*100</f>
        <v>4.758873796400357</v>
      </c>
      <c r="Q67" s="54">
        <f>N67-7985.28</f>
        <v>-7915</v>
      </c>
      <c r="R67" s="173">
        <f>N67/7985.28</f>
        <v>0.008801194197323043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6231.199999999999</v>
      </c>
      <c r="G74" s="44">
        <f>F74-E74</f>
        <v>-2084.9799999999996</v>
      </c>
      <c r="H74" s="45">
        <f>F74/E74*100</f>
        <v>74.92863309836969</v>
      </c>
      <c r="I74" s="31">
        <f>F74-D74</f>
        <v>-10940.800000000001</v>
      </c>
      <c r="J74" s="31">
        <f>F74/D74*100</f>
        <v>36.286978802702066</v>
      </c>
      <c r="K74" s="31">
        <f>K62+K67+K71+K72</f>
        <v>694.3699999999999</v>
      </c>
      <c r="L74" s="31"/>
      <c r="M74" s="27">
        <f>M62+M72+M67+M71</f>
        <v>1495.8200000000002</v>
      </c>
      <c r="N74" s="27">
        <f>N62+N72+N67+N71+N73</f>
        <v>67.76999999999974</v>
      </c>
      <c r="O74" s="31">
        <f>N74-M74</f>
        <v>-1428.0500000000004</v>
      </c>
      <c r="P74" s="31">
        <f>N74/M74*100</f>
        <v>4.530625342621421</v>
      </c>
      <c r="Q74" s="31">
        <f>N74-8104.96</f>
        <v>-8037.1900000000005</v>
      </c>
      <c r="R74" s="127">
        <f>N74/8104.96</f>
        <v>0.008361546509791503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475575.7200000001</v>
      </c>
      <c r="G75" s="44">
        <f>F75-E75</f>
        <v>-14462.359999999928</v>
      </c>
      <c r="H75" s="45">
        <f>F75/E75*100</f>
        <v>97.04872731523233</v>
      </c>
      <c r="I75" s="31">
        <f>F75-D75</f>
        <v>-142618.8799999999</v>
      </c>
      <c r="J75" s="31">
        <f>F75/D75*100</f>
        <v>76.92977583434086</v>
      </c>
      <c r="K75" s="31">
        <f>K55+K74</f>
        <v>101276.586</v>
      </c>
      <c r="L75" s="31">
        <f>F75/(F75-K75)*100</f>
        <v>127.05765971662655</v>
      </c>
      <c r="M75" s="18">
        <f>M55+M74</f>
        <v>50034.219999999994</v>
      </c>
      <c r="N75" s="18">
        <f>N55+N74</f>
        <v>18278.10000000002</v>
      </c>
      <c r="O75" s="31">
        <f>N75-M75</f>
        <v>-31756.119999999974</v>
      </c>
      <c r="P75" s="31">
        <f>N75/M75*100</f>
        <v>36.531198048055955</v>
      </c>
      <c r="Q75" s="31">
        <f>N75-42872.96</f>
        <v>-24594.85999999998</v>
      </c>
      <c r="R75" s="127">
        <f>N75/42872.96</f>
        <v>0.4263316551971224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15</v>
      </c>
      <c r="D77" s="4" t="s">
        <v>118</v>
      </c>
    </row>
    <row r="78" spans="2:17" ht="31.5">
      <c r="B78" s="71" t="s">
        <v>154</v>
      </c>
      <c r="C78" s="34">
        <f>IF(O55&lt;0,ABS(O55/C77),0)</f>
        <v>2021.8713333333317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42256</v>
      </c>
      <c r="D79" s="34">
        <v>1281.3</v>
      </c>
      <c r="G79" s="4" t="s">
        <v>166</v>
      </c>
      <c r="N79" s="252"/>
      <c r="O79" s="252"/>
    </row>
    <row r="80" spans="3:15" ht="15.75">
      <c r="C80" s="111">
        <v>42255</v>
      </c>
      <c r="D80" s="34">
        <v>2025.1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42254</v>
      </c>
      <c r="D81" s="34">
        <v>4742.6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8865.62437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2015-09-10T07:41:14Z</cp:lastPrinted>
  <dcterms:created xsi:type="dcterms:W3CDTF">2003-07-28T11:27:56Z</dcterms:created>
  <dcterms:modified xsi:type="dcterms:W3CDTF">2015-09-10T07:54:11Z</dcterms:modified>
  <cp:category/>
  <cp:version/>
  <cp:contentType/>
  <cp:contentStatus/>
</cp:coreProperties>
</file>